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50" activeTab="0"/>
  </bookViews>
  <sheets>
    <sheet name="Ratio analysis" sheetId="1" r:id="rId1"/>
    <sheet name="Marginal WACC" sheetId="2" r:id="rId2"/>
    <sheet name="Trade-off" sheetId="3" r:id="rId3"/>
  </sheets>
  <definedNames/>
  <calcPr fullCalcOnLoad="1"/>
</workbook>
</file>

<file path=xl/sharedStrings.xml><?xml version="1.0" encoding="utf-8"?>
<sst xmlns="http://schemas.openxmlformats.org/spreadsheetml/2006/main" count="160" uniqueCount="117">
  <si>
    <t>D/E</t>
  </si>
  <si>
    <t>Income tax rate</t>
  </si>
  <si>
    <t>How much can you afford to borrow?</t>
  </si>
  <si>
    <t>Number of shares</t>
  </si>
  <si>
    <t>Share price</t>
  </si>
  <si>
    <t>Market capitalisation</t>
  </si>
  <si>
    <t>Debt</t>
  </si>
  <si>
    <t>Rating</t>
  </si>
  <si>
    <t>BBB</t>
  </si>
  <si>
    <t>Beta</t>
  </si>
  <si>
    <t>Risk free rate</t>
  </si>
  <si>
    <t>Interest rate BBB</t>
  </si>
  <si>
    <t>Interest rate B</t>
  </si>
  <si>
    <t>Debt ratio</t>
  </si>
  <si>
    <t>Cost of capital</t>
  </si>
  <si>
    <t>Cost of capital:</t>
  </si>
  <si>
    <t>Equity</t>
  </si>
  <si>
    <t>Capital</t>
  </si>
  <si>
    <t>Weight</t>
  </si>
  <si>
    <t>Tax rate</t>
  </si>
  <si>
    <t>WACC</t>
  </si>
  <si>
    <t>Market risk premium</t>
  </si>
  <si>
    <t>Unlevered Beta</t>
  </si>
  <si>
    <t>After Borrowing:</t>
  </si>
  <si>
    <t>New Borrowing</t>
  </si>
  <si>
    <t>1. Should the company borrow additional funds?</t>
  </si>
  <si>
    <t>Decrease of WACC</t>
  </si>
  <si>
    <t>Enterprise value</t>
  </si>
  <si>
    <t>Change of value per year</t>
  </si>
  <si>
    <t>Change in value</t>
  </si>
  <si>
    <t>Change in value per share</t>
  </si>
  <si>
    <t>This is assuming no growth. NPV of projects equal to zero</t>
  </si>
  <si>
    <t>New share price expected</t>
  </si>
  <si>
    <t>2. Expected share price after borrowing</t>
  </si>
  <si>
    <t>EBIT</t>
  </si>
  <si>
    <t>EBIT of new projects</t>
  </si>
  <si>
    <t>New project investment</t>
  </si>
  <si>
    <t>Investment</t>
  </si>
  <si>
    <t>ROIC</t>
  </si>
  <si>
    <t>NOPAT</t>
  </si>
  <si>
    <t>NPV</t>
  </si>
  <si>
    <t>3. What if you invest the money in a new project that has similiar risk to other in the company?</t>
  </si>
  <si>
    <t>Increase in share price</t>
  </si>
  <si>
    <t>Using the Static Trade-Off Theory</t>
  </si>
  <si>
    <t>Price per share</t>
  </si>
  <si>
    <t>Probability of Default</t>
  </si>
  <si>
    <t>Bond rating</t>
  </si>
  <si>
    <t>AAA</t>
  </si>
  <si>
    <t>BB</t>
  </si>
  <si>
    <t>CCC</t>
  </si>
  <si>
    <t>D</t>
  </si>
  <si>
    <t>VL=VU+Tax Shield-Bankruptcy Costs</t>
  </si>
  <si>
    <t>VU=VL-Tax Shield+Bankruptcy Costs</t>
  </si>
  <si>
    <t>Value of Levered Firm :</t>
  </si>
  <si>
    <t>Total Value of Firm</t>
  </si>
  <si>
    <t>Value</t>
  </si>
  <si>
    <t>%</t>
  </si>
  <si>
    <t>Tax Shield</t>
  </si>
  <si>
    <t>Bankruptcy cost:</t>
  </si>
  <si>
    <t>Probability of default</t>
  </si>
  <si>
    <t>Cost as % of Value</t>
  </si>
  <si>
    <t>Bankruptcy cost % of Value</t>
  </si>
  <si>
    <t>Firm Value</t>
  </si>
  <si>
    <t>Expected bankruptcy cost</t>
  </si>
  <si>
    <t>Unlevered firm</t>
  </si>
  <si>
    <t>Unlevered Firm</t>
  </si>
  <si>
    <t>Expected Bankruptcy Costs</t>
  </si>
  <si>
    <t>Cost of debt</t>
  </si>
  <si>
    <t>Unlevered beta</t>
  </si>
  <si>
    <t>Cost of unlevered capital</t>
  </si>
  <si>
    <t>Value of unlevered firm</t>
  </si>
  <si>
    <t>AA</t>
  </si>
  <si>
    <t>A</t>
  </si>
  <si>
    <t>B</t>
  </si>
  <si>
    <t>CC</t>
  </si>
  <si>
    <t>C</t>
  </si>
  <si>
    <t>DDD</t>
  </si>
  <si>
    <t>Value of Firm</t>
  </si>
  <si>
    <r>
      <t>b</t>
    </r>
    <r>
      <rPr>
        <vertAlign val="subscript"/>
        <sz val="11"/>
        <color indexed="8"/>
        <rFont val="Calibri"/>
        <family val="2"/>
      </rPr>
      <t>0</t>
    </r>
  </si>
  <si>
    <r>
      <t>b</t>
    </r>
    <r>
      <rPr>
        <vertAlign val="subscript"/>
        <sz val="11"/>
        <color indexed="8"/>
        <rFont val="Calibri"/>
        <family val="2"/>
      </rPr>
      <t>1</t>
    </r>
  </si>
  <si>
    <r>
      <t>b</t>
    </r>
    <r>
      <rPr>
        <vertAlign val="subscript"/>
        <sz val="11"/>
        <color indexed="8"/>
        <rFont val="Calibri"/>
        <family val="2"/>
      </rPr>
      <t>2</t>
    </r>
  </si>
  <si>
    <r>
      <t>b</t>
    </r>
    <r>
      <rPr>
        <vertAlign val="subscript"/>
        <sz val="11"/>
        <color indexed="8"/>
        <rFont val="Calibri"/>
        <family val="2"/>
      </rPr>
      <t>3</t>
    </r>
  </si>
  <si>
    <r>
      <t>b</t>
    </r>
    <r>
      <rPr>
        <vertAlign val="subscript"/>
        <sz val="11"/>
        <color indexed="8"/>
        <rFont val="Calibri"/>
        <family val="2"/>
      </rPr>
      <t>4</t>
    </r>
  </si>
  <si>
    <t>CAPM ke=rf+b*risk premium</t>
  </si>
  <si>
    <r>
      <t>WACC</t>
    </r>
    <r>
      <rPr>
        <vertAlign val="subscript"/>
        <sz val="11"/>
        <color indexed="8"/>
        <rFont val="Calibri"/>
        <family val="2"/>
      </rPr>
      <t>0</t>
    </r>
  </si>
  <si>
    <r>
      <t>B</t>
    </r>
    <r>
      <rPr>
        <vertAlign val="subscript"/>
        <sz val="11"/>
        <color indexed="8"/>
        <rFont val="Calibri"/>
        <family val="2"/>
      </rPr>
      <t>u</t>
    </r>
    <r>
      <rPr>
        <sz val="11"/>
        <color theme="1"/>
        <rFont val="Calibri"/>
        <family val="2"/>
      </rPr>
      <t>=B</t>
    </r>
    <r>
      <rPr>
        <vertAlign val="subscript"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</rPr>
      <t>/[1+D/E*(1-t)]</t>
    </r>
  </si>
  <si>
    <r>
      <t>B</t>
    </r>
    <r>
      <rPr>
        <vertAlign val="subscript"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</rPr>
      <t>=B</t>
    </r>
    <r>
      <rPr>
        <vertAlign val="subscript"/>
        <sz val="11"/>
        <color indexed="8"/>
        <rFont val="Calibri"/>
        <family val="2"/>
      </rPr>
      <t>u</t>
    </r>
    <r>
      <rPr>
        <sz val="11"/>
        <color theme="1"/>
        <rFont val="Calibri"/>
        <family val="2"/>
      </rPr>
      <t>*[1+D/E*(1-t)]</t>
    </r>
  </si>
  <si>
    <t xml:space="preserve">Equity Beta </t>
  </si>
  <si>
    <t>WACC drops 1 basis point. If the money is invested in similar project, it is creating value for the company. You should go ahead with the borrowing</t>
  </si>
  <si>
    <t>OCF=NOPAT+A&amp;D-IncWCR-CAPEX</t>
  </si>
  <si>
    <t>A&amp;D=CAPEX</t>
  </si>
  <si>
    <t>IncWCR=0</t>
  </si>
  <si>
    <t>Assumptions:</t>
  </si>
  <si>
    <t>Benchmarking</t>
  </si>
  <si>
    <t>Benchmarking da estrtura de capital com os concorrentes</t>
  </si>
  <si>
    <t>Empresa</t>
  </si>
  <si>
    <t>Concorrentes</t>
  </si>
  <si>
    <t>Rácios</t>
  </si>
  <si>
    <t>Variação do EBITDA</t>
  </si>
  <si>
    <t>EBITDA / Capital Investido</t>
  </si>
  <si>
    <t>Taxa de imposto sobre lucros</t>
  </si>
  <si>
    <t>I&amp;D / Vendas</t>
  </si>
  <si>
    <t>1. Intuitatmente a sua empresa devia ter mais ou menos endividamento do que a concorrência?</t>
  </si>
  <si>
    <t>Notas:</t>
  </si>
  <si>
    <t>EBITDA é menos volátil</t>
  </si>
  <si>
    <t>É mais rentável</t>
  </si>
  <si>
    <t>Tem taxa marginal de impostos sobre lucros maior</t>
  </si>
  <si>
    <t>I&amp;D tem menor peso nas vendas</t>
  </si>
  <si>
    <t>Menor risco operacional admite maior risco risco financeiro. Isto é maior endividamento</t>
  </si>
  <si>
    <t>Maior rendibilidade operacional permite assumir mair risco financeiro</t>
  </si>
  <si>
    <t>Quanto maior a taxa de imposto sobre lucros mais atrativo é uar dívida porque maior será a poupança fiscal</t>
  </si>
  <si>
    <t>Menos I&amp;D, é mensos custos fixos e por sso tem amior flexibilidade. Logo também poder mais endividamento que os concorrentes</t>
  </si>
  <si>
    <t>Conclusão:</t>
  </si>
  <si>
    <t>Modelo</t>
  </si>
  <si>
    <t>Quer a empresa em análise quer os seus concorrentes têm endividamento superior ao resultante da regressão</t>
  </si>
  <si>
    <t>E a sua empresa suporta maior nivel de endividamento tal como era suposto pela análise intuitiva.</t>
  </si>
  <si>
    <t>A vantagem da regressão é a de dar um nivel de endividamento sugerido pelo benchmarking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</si>
</sst>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&quot;€&quot;_-;\-* #,##0.0\ &quot;€&quot;_-;_-* &quot;-&quot;??\ &quot;€&quot;_-;_-@_-"/>
    <numFmt numFmtId="173" formatCode="_-* #,##0\ &quot;€&quot;_-;\-* #,##0\ &quot;€&quot;_-;_-* &quot;-&quot;??\ &quot;€&quot;_-;_-@_-"/>
    <numFmt numFmtId="174" formatCode="0.0%"/>
    <numFmt numFmtId="175" formatCode="#,##0.00_ ;\-#,##0.00\ 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\ &quot;€&quot;;\-#,##0.0\ &quot;€&quot;"/>
    <numFmt numFmtId="183" formatCode="0.0"/>
    <numFmt numFmtId="184" formatCode="_-* #\ ##0\ &quot;€&quot;_-;\-* #\ ##0\ &quot;€&quot;_-;_-* &quot;-&quot;??\ &quot;€&quot;_-;_-@_-"/>
    <numFmt numFmtId="185" formatCode="0.000000000"/>
    <numFmt numFmtId="186" formatCode="0.000%"/>
    <numFmt numFmtId="187" formatCode="0.0000%"/>
    <numFmt numFmtId="188" formatCode="0.00000%"/>
    <numFmt numFmtId="189" formatCode="0.000000%"/>
    <numFmt numFmtId="190" formatCode="_-* #,##0.000\ &quot;€&quot;_-;\-* #,##0.000\ &quot;€&quot;_-;_-* &quot;-&quot;??\ &quot;€&quot;_-;_-@_-"/>
    <numFmt numFmtId="191" formatCode="_-* #,##0.0000\ &quot;€&quot;_-;\-* #,##0.0000\ &quot;€&quot;_-;_-* &quot;-&quot;??\ &quot;€&quot;_-;_-@_-"/>
    <numFmt numFmtId="192" formatCode="_-* #,##0.00000\ &quot;€&quot;_-;\-* #,##0.00000\ &quot;€&quot;_-;_-* &quot;-&quot;??\ &quot;€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mbria Math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/>
    </xf>
    <xf numFmtId="0" fontId="41" fillId="0" borderId="0" xfId="0" applyFont="1" applyAlignment="1">
      <alignment/>
    </xf>
    <xf numFmtId="9" fontId="0" fillId="0" borderId="10" xfId="59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59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70" fontId="0" fillId="0" borderId="10" xfId="44" applyFont="1" applyBorder="1" applyAlignment="1">
      <alignment/>
    </xf>
    <xf numFmtId="173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74" fontId="0" fillId="0" borderId="0" xfId="59" applyNumberFormat="1" applyFont="1" applyAlignment="1">
      <alignment/>
    </xf>
    <xf numFmtId="175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1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64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174" fontId="0" fillId="0" borderId="0" xfId="59" applyNumberFormat="1" applyFont="1" applyAlignment="1">
      <alignment/>
    </xf>
    <xf numFmtId="173" fontId="0" fillId="0" borderId="0" xfId="44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9" fontId="41" fillId="0" borderId="0" xfId="0" applyNumberFormat="1" applyFont="1" applyAlignment="1">
      <alignment/>
    </xf>
    <xf numFmtId="173" fontId="41" fillId="0" borderId="0" xfId="0" applyNumberFormat="1" applyFont="1" applyAlignment="1">
      <alignment/>
    </xf>
    <xf numFmtId="0" fontId="0" fillId="0" borderId="11" xfId="0" applyBorder="1" applyAlignment="1">
      <alignment/>
    </xf>
    <xf numFmtId="173" fontId="0" fillId="0" borderId="10" xfId="44" applyNumberFormat="1" applyFont="1" applyBorder="1" applyAlignment="1">
      <alignment/>
    </xf>
    <xf numFmtId="170" fontId="0" fillId="0" borderId="10" xfId="44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right" wrapText="1"/>
    </xf>
    <xf numFmtId="189" fontId="0" fillId="0" borderId="0" xfId="59" applyNumberFormat="1" applyFon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43" fillId="0" borderId="0" xfId="0" applyFont="1" applyAlignment="1">
      <alignment/>
    </xf>
    <xf numFmtId="10" fontId="41" fillId="0" borderId="0" xfId="0" applyNumberFormat="1" applyFont="1" applyAlignment="1">
      <alignment/>
    </xf>
    <xf numFmtId="188" fontId="41" fillId="0" borderId="0" xfId="0" applyNumberFormat="1" applyFont="1" applyAlignment="1">
      <alignment/>
    </xf>
    <xf numFmtId="0" fontId="0" fillId="0" borderId="0" xfId="0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-0.007"/>
          <c:w val="0.92325"/>
          <c:h val="0.92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'Trade-off'!$B$53:$B$63</c:f>
              <c:numCache/>
            </c:numRef>
          </c:xVal>
          <c:yVal>
            <c:numRef>
              <c:f>'Trade-off'!$G$53:$G$63</c:f>
              <c:numCache/>
            </c:numRef>
          </c:yVal>
          <c:smooth val="1"/>
        </c:ser>
        <c:axId val="15668083"/>
        <c:axId val="6795020"/>
      </c:scatterChart>
      <c:valAx>
        <c:axId val="15668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Debt Ratio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795020"/>
        <c:crosses val="autoZero"/>
        <c:crossBetween val="midCat"/>
        <c:dispUnits/>
      </c:valAx>
      <c:valAx>
        <c:axId val="6795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Value of Firm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6680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19</xdr:row>
      <xdr:rowOff>219075</xdr:rowOff>
    </xdr:from>
    <xdr:ext cx="2943225" cy="352425"/>
    <xdr:sp>
      <xdr:nvSpPr>
        <xdr:cNvPr id="1" name="TextBox 1"/>
        <xdr:cNvSpPr txBox="1">
          <a:spLocks noChangeArrowheads="1"/>
        </xdr:cNvSpPr>
      </xdr:nvSpPr>
      <xdr:spPr>
        <a:xfrm>
          <a:off x="3552825" y="3867150"/>
          <a:ext cx="2943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E=b_0+b_1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x_1+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b_2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x_2+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_3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x_3+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b_4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x_4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1533525</xdr:colOff>
      <xdr:row>63</xdr:row>
      <xdr:rowOff>114300</xdr:rowOff>
    </xdr:from>
    <xdr:to>
      <xdr:col>7</xdr:col>
      <xdr:colOff>142875</xdr:colOff>
      <xdr:row>78</xdr:row>
      <xdr:rowOff>95250</xdr:rowOff>
    </xdr:to>
    <xdr:graphicFrame>
      <xdr:nvGraphicFramePr>
        <xdr:cNvPr id="1" name="Chart 6"/>
        <xdr:cNvGraphicFramePr/>
      </xdr:nvGraphicFramePr>
      <xdr:xfrm>
        <a:off x="1533525" y="12325350"/>
        <a:ext cx="46196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40" zoomScaleNormal="140" zoomScalePageLayoutView="0" workbookViewId="0" topLeftCell="A1">
      <selection activeCell="A33" sqref="A33"/>
    </sheetView>
  </sheetViews>
  <sheetFormatPr defaultColWidth="9.140625" defaultRowHeight="15"/>
  <cols>
    <col min="1" max="1" width="27.421875" style="0" customWidth="1"/>
    <col min="2" max="3" width="11.140625" style="0" bestFit="1" customWidth="1"/>
  </cols>
  <sheetData>
    <row r="1" spans="1:6" ht="14.25">
      <c r="A1" s="6" t="s">
        <v>93</v>
      </c>
      <c r="F1" s="46"/>
    </row>
    <row r="2" ht="14.25">
      <c r="A2" t="s">
        <v>94</v>
      </c>
    </row>
    <row r="3" ht="14.25">
      <c r="B3" s="2"/>
    </row>
    <row r="4" spans="1:3" ht="14.25">
      <c r="A4" s="9" t="s">
        <v>97</v>
      </c>
      <c r="B4" s="8" t="s">
        <v>95</v>
      </c>
      <c r="C4" s="8" t="s">
        <v>96</v>
      </c>
    </row>
    <row r="5" spans="1:3" ht="14.25">
      <c r="A5" s="3" t="s">
        <v>0</v>
      </c>
      <c r="B5" s="14">
        <v>0.5</v>
      </c>
      <c r="C5" s="14">
        <v>0.4</v>
      </c>
    </row>
    <row r="6" spans="1:3" ht="14.25">
      <c r="A6" s="3" t="s">
        <v>98</v>
      </c>
      <c r="B6" s="7">
        <v>0.2</v>
      </c>
      <c r="C6" s="7">
        <v>0.35</v>
      </c>
    </row>
    <row r="7" spans="1:3" ht="14.25">
      <c r="A7" s="3" t="s">
        <v>99</v>
      </c>
      <c r="B7" s="5">
        <v>0.2</v>
      </c>
      <c r="C7" s="5">
        <v>0.15</v>
      </c>
    </row>
    <row r="8" spans="1:3" ht="14.25">
      <c r="A8" s="3" t="s">
        <v>100</v>
      </c>
      <c r="B8" s="5">
        <v>0.3</v>
      </c>
      <c r="C8" s="5">
        <v>0.25</v>
      </c>
    </row>
    <row r="9" spans="1:3" ht="14.25">
      <c r="A9" s="3" t="s">
        <v>101</v>
      </c>
      <c r="B9" s="5">
        <v>0.02</v>
      </c>
      <c r="C9" s="5">
        <v>0.05</v>
      </c>
    </row>
    <row r="11" ht="14.25">
      <c r="A11" t="s">
        <v>102</v>
      </c>
    </row>
    <row r="12" ht="14.25">
      <c r="A12" t="s">
        <v>103</v>
      </c>
    </row>
    <row r="13" spans="1:2" ht="14.25">
      <c r="A13" t="s">
        <v>104</v>
      </c>
      <c r="B13" t="s">
        <v>108</v>
      </c>
    </row>
    <row r="14" spans="1:2" ht="14.25">
      <c r="A14" t="s">
        <v>105</v>
      </c>
      <c r="B14" t="s">
        <v>109</v>
      </c>
    </row>
    <row r="15" spans="1:2" ht="28.5">
      <c r="A15" s="26" t="s">
        <v>106</v>
      </c>
      <c r="B15" s="49" t="s">
        <v>110</v>
      </c>
    </row>
    <row r="16" spans="1:2" ht="14.25">
      <c r="A16" t="s">
        <v>107</v>
      </c>
      <c r="B16" t="s">
        <v>111</v>
      </c>
    </row>
    <row r="19" spans="1:2" ht="14.25">
      <c r="A19" s="9" t="s">
        <v>97</v>
      </c>
      <c r="B19" s="8" t="s">
        <v>113</v>
      </c>
    </row>
    <row r="20" spans="1:3" ht="18">
      <c r="A20" s="3" t="s">
        <v>0</v>
      </c>
      <c r="B20" s="11">
        <v>0.1</v>
      </c>
      <c r="C20" t="s">
        <v>78</v>
      </c>
    </row>
    <row r="21" spans="1:3" ht="18">
      <c r="A21" s="3" t="s">
        <v>98</v>
      </c>
      <c r="B21" s="12">
        <v>-0.45</v>
      </c>
      <c r="C21" t="s">
        <v>79</v>
      </c>
    </row>
    <row r="22" spans="1:3" ht="18">
      <c r="A22" s="3" t="s">
        <v>99</v>
      </c>
      <c r="B22" s="13">
        <v>1.75</v>
      </c>
      <c r="C22" t="s">
        <v>80</v>
      </c>
    </row>
    <row r="23" spans="1:3" ht="16.5">
      <c r="A23" s="3" t="s">
        <v>100</v>
      </c>
      <c r="B23" s="13">
        <v>0.3</v>
      </c>
      <c r="C23" t="s">
        <v>81</v>
      </c>
    </row>
    <row r="24" spans="1:3" ht="16.5">
      <c r="A24" s="3" t="s">
        <v>101</v>
      </c>
      <c r="B24" s="13">
        <v>1.5</v>
      </c>
      <c r="C24" t="s">
        <v>82</v>
      </c>
    </row>
    <row r="25" spans="1:2" ht="14.25">
      <c r="A25" s="3"/>
      <c r="B25" s="10"/>
    </row>
    <row r="26" spans="1:3" ht="14.25">
      <c r="A26" s="3"/>
      <c r="B26" s="8" t="s">
        <v>95</v>
      </c>
      <c r="C26" s="8" t="s">
        <v>96</v>
      </c>
    </row>
    <row r="27" spans="1:3" ht="14.25">
      <c r="A27" s="3" t="s">
        <v>0</v>
      </c>
      <c r="B27" s="10">
        <f>$B$20+SUMPRODUCT($B$21:$B$24,B6:B9)</f>
        <v>0.48</v>
      </c>
      <c r="C27" s="10">
        <f>$B$20+SUMPRODUCT($B$21:$B$24,C6:C9)</f>
        <v>0.355</v>
      </c>
    </row>
    <row r="29" ht="14.25">
      <c r="A29" s="6" t="s">
        <v>112</v>
      </c>
    </row>
    <row r="30" ht="14.25">
      <c r="A30" t="s">
        <v>114</v>
      </c>
    </row>
    <row r="31" ht="14.25">
      <c r="A31" t="s">
        <v>115</v>
      </c>
    </row>
    <row r="32" ht="14.25">
      <c r="A32" t="s">
        <v>116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="140" zoomScaleNormal="140" zoomScalePageLayoutView="0" workbookViewId="0" topLeftCell="A1">
      <selection activeCell="E59" sqref="E59"/>
    </sheetView>
  </sheetViews>
  <sheetFormatPr defaultColWidth="9.140625" defaultRowHeight="15"/>
  <cols>
    <col min="1" max="1" width="27.421875" style="0" customWidth="1"/>
    <col min="2" max="2" width="13.57421875" style="0" bestFit="1" customWidth="1"/>
    <col min="3" max="3" width="10.140625" style="0" bestFit="1" customWidth="1"/>
    <col min="6" max="6" width="9.00390625" style="0" bestFit="1" customWidth="1"/>
  </cols>
  <sheetData>
    <row r="1" ht="14.25">
      <c r="A1" s="6" t="s">
        <v>2</v>
      </c>
    </row>
    <row r="3" spans="1:2" ht="14.25">
      <c r="A3" s="3" t="s">
        <v>3</v>
      </c>
      <c r="B3" s="19">
        <v>10000000</v>
      </c>
    </row>
    <row r="4" spans="1:2" ht="14.25">
      <c r="A4" s="3" t="s">
        <v>4</v>
      </c>
      <c r="B4" s="20">
        <v>4</v>
      </c>
    </row>
    <row r="5" spans="1:2" ht="14.25">
      <c r="A5" s="3" t="s">
        <v>5</v>
      </c>
      <c r="B5" s="21">
        <f>+B3*B4</f>
        <v>40000000</v>
      </c>
    </row>
    <row r="6" spans="1:2" ht="14.25">
      <c r="A6" s="3" t="s">
        <v>6</v>
      </c>
      <c r="B6" s="21">
        <v>20000000</v>
      </c>
    </row>
    <row r="7" spans="1:2" ht="14.25">
      <c r="A7" s="3" t="s">
        <v>7</v>
      </c>
      <c r="B7" s="4" t="s">
        <v>8</v>
      </c>
    </row>
    <row r="8" spans="1:2" ht="14.25">
      <c r="A8" s="3" t="s">
        <v>9</v>
      </c>
      <c r="B8" s="14">
        <v>1</v>
      </c>
    </row>
    <row r="9" spans="1:2" ht="14.25">
      <c r="A9" s="3" t="s">
        <v>21</v>
      </c>
      <c r="B9" s="22">
        <v>0.055</v>
      </c>
    </row>
    <row r="10" spans="1:2" ht="14.25">
      <c r="A10" s="3" t="s">
        <v>10</v>
      </c>
      <c r="B10" s="22">
        <v>0.035</v>
      </c>
    </row>
    <row r="11" spans="1:2" ht="14.25">
      <c r="A11" s="3" t="s">
        <v>1</v>
      </c>
      <c r="B11" s="31">
        <v>0.3</v>
      </c>
    </row>
    <row r="12" spans="1:2" ht="14.25">
      <c r="A12" s="3" t="s">
        <v>11</v>
      </c>
      <c r="B12" s="22">
        <v>0.0425</v>
      </c>
    </row>
    <row r="13" spans="1:2" ht="14.25">
      <c r="A13" s="3"/>
      <c r="B13" s="22"/>
    </row>
    <row r="14" spans="1:2" ht="14.25">
      <c r="A14" s="3" t="s">
        <v>12</v>
      </c>
      <c r="B14" s="22">
        <v>0.045</v>
      </c>
    </row>
    <row r="15" spans="1:2" ht="14.25">
      <c r="A15" s="29" t="s">
        <v>24</v>
      </c>
      <c r="B15" s="21">
        <v>4000000</v>
      </c>
    </row>
    <row r="16" spans="1:2" ht="14.25">
      <c r="A16" s="29" t="s">
        <v>35</v>
      </c>
      <c r="B16" s="21">
        <v>440000</v>
      </c>
    </row>
    <row r="17" spans="1:2" ht="14.25">
      <c r="A17" s="29" t="s">
        <v>36</v>
      </c>
      <c r="B17" s="21">
        <f>+B15</f>
        <v>4000000</v>
      </c>
    </row>
    <row r="19" ht="14.25">
      <c r="A19" s="6" t="s">
        <v>25</v>
      </c>
    </row>
    <row r="20" spans="1:2" ht="14.25">
      <c r="A20" t="s">
        <v>13</v>
      </c>
      <c r="B20" s="25">
        <f>+B6/(B5+B6)</f>
        <v>0.3333333333333333</v>
      </c>
    </row>
    <row r="21" spans="1:2" ht="14.25">
      <c r="A21" t="s">
        <v>0</v>
      </c>
      <c r="B21" s="24">
        <f>+B6/B5</f>
        <v>0.5</v>
      </c>
    </row>
    <row r="22" spans="1:6" ht="28.5">
      <c r="A22" t="s">
        <v>15</v>
      </c>
      <c r="B22" t="s">
        <v>17</v>
      </c>
      <c r="C22" t="s">
        <v>18</v>
      </c>
      <c r="D22" t="s">
        <v>19</v>
      </c>
      <c r="E22" s="27" t="s">
        <v>14</v>
      </c>
      <c r="F22" t="s">
        <v>20</v>
      </c>
    </row>
    <row r="23" spans="1:7" ht="14.25">
      <c r="A23" t="s">
        <v>16</v>
      </c>
      <c r="B23" s="17">
        <f>+B5</f>
        <v>40000000</v>
      </c>
      <c r="C23" s="25">
        <f>+B23/($B$23+$B$24)</f>
        <v>0.6666666666666666</v>
      </c>
      <c r="E23" s="25">
        <f>+$B$10+B8*$B$9</f>
        <v>0.09</v>
      </c>
      <c r="F23" s="25">
        <f>+C23*E23</f>
        <v>0.06</v>
      </c>
      <c r="G23" t="s">
        <v>83</v>
      </c>
    </row>
    <row r="24" spans="1:6" ht="14.25">
      <c r="A24" t="s">
        <v>6</v>
      </c>
      <c r="B24" s="17">
        <f>+B6</f>
        <v>20000000</v>
      </c>
      <c r="C24" s="25">
        <f>+B24/($B$23+$B$24)</f>
        <v>0.3333333333333333</v>
      </c>
      <c r="D24" s="1">
        <f>+$B$11</f>
        <v>0.3</v>
      </c>
      <c r="E24" s="18">
        <f>+B12</f>
        <v>0.0425</v>
      </c>
      <c r="F24" s="25">
        <f>+E24*(1-D24)*C24</f>
        <v>0.009916666666666666</v>
      </c>
    </row>
    <row r="25" spans="1:6" ht="16.5">
      <c r="A25" t="s">
        <v>84</v>
      </c>
      <c r="F25" s="47">
        <f>+F23+F24</f>
        <v>0.06991666666666667</v>
      </c>
    </row>
    <row r="27" spans="1:3" ht="16.5">
      <c r="A27" t="s">
        <v>22</v>
      </c>
      <c r="B27" s="28">
        <f>+B8/(1+B21*(1-B11))</f>
        <v>0.7407407407407407</v>
      </c>
      <c r="C27" t="s">
        <v>85</v>
      </c>
    </row>
    <row r="29" ht="14.25">
      <c r="A29" s="6" t="s">
        <v>23</v>
      </c>
    </row>
    <row r="30" spans="1:2" ht="14.25">
      <c r="A30" t="s">
        <v>0</v>
      </c>
      <c r="B30" s="28">
        <f>(+B6+B15)/B5</f>
        <v>0.6</v>
      </c>
    </row>
    <row r="31" spans="1:3" ht="16.5">
      <c r="A31" t="s">
        <v>87</v>
      </c>
      <c r="B31" s="28">
        <f>+B27*(1+B30*(1-B11))</f>
        <v>1.0518518518518518</v>
      </c>
      <c r="C31" t="s">
        <v>86</v>
      </c>
    </row>
    <row r="33" spans="1:6" ht="28.5">
      <c r="A33" t="s">
        <v>15</v>
      </c>
      <c r="B33" t="s">
        <v>17</v>
      </c>
      <c r="C33" t="s">
        <v>18</v>
      </c>
      <c r="D33" t="s">
        <v>19</v>
      </c>
      <c r="E33" s="27" t="s">
        <v>14</v>
      </c>
      <c r="F33" t="s">
        <v>20</v>
      </c>
    </row>
    <row r="34" spans="1:7" ht="14.25">
      <c r="A34" t="s">
        <v>16</v>
      </c>
      <c r="B34" s="17">
        <f>+B23</f>
        <v>40000000</v>
      </c>
      <c r="C34" s="25">
        <f>+B34/($B$34+$B$35)</f>
        <v>0.625</v>
      </c>
      <c r="E34" s="25">
        <f>+$B$10+B31*$B$9</f>
        <v>0.09285185185185185</v>
      </c>
      <c r="F34" s="25">
        <f>+C34*E34</f>
        <v>0.05803240740740741</v>
      </c>
      <c r="G34" t="s">
        <v>83</v>
      </c>
    </row>
    <row r="35" spans="1:6" ht="14.25">
      <c r="A35" t="s">
        <v>6</v>
      </c>
      <c r="B35" s="17">
        <f>+B6+B15</f>
        <v>24000000</v>
      </c>
      <c r="C35" s="25">
        <f>+B35/($B$34+$B$35)</f>
        <v>0.375</v>
      </c>
      <c r="D35" s="1">
        <f>+$B$11</f>
        <v>0.3</v>
      </c>
      <c r="E35" s="18">
        <f>+B14</f>
        <v>0.045</v>
      </c>
      <c r="F35" s="25">
        <f>+E35*(1-D35)*C35</f>
        <v>0.0118125</v>
      </c>
    </row>
    <row r="36" spans="1:6" ht="14.25">
      <c r="A36" t="s">
        <v>20</v>
      </c>
      <c r="F36" s="47">
        <f>+F34+F35</f>
        <v>0.06984490740740741</v>
      </c>
    </row>
    <row r="37" ht="14.25">
      <c r="F37" s="48">
        <f>+F25-F36</f>
        <v>7.175925925925752E-05</v>
      </c>
    </row>
    <row r="38" ht="14.25">
      <c r="A38" t="s">
        <v>88</v>
      </c>
    </row>
    <row r="40" ht="14.25">
      <c r="A40" s="6" t="s">
        <v>33</v>
      </c>
    </row>
    <row r="41" spans="1:2" ht="14.25">
      <c r="A41" t="s">
        <v>26</v>
      </c>
      <c r="B41" s="43">
        <f>+F25-F36</f>
        <v>7.175925925925752E-05</v>
      </c>
    </row>
    <row r="42" spans="1:2" ht="14.25">
      <c r="A42" t="s">
        <v>27</v>
      </c>
      <c r="B42" s="17">
        <f>+B5+B6</f>
        <v>60000000</v>
      </c>
    </row>
    <row r="43" spans="1:2" ht="14.25">
      <c r="A43" t="s">
        <v>28</v>
      </c>
      <c r="B43" s="17">
        <f>+B41*B42</f>
        <v>4305.555555555451</v>
      </c>
    </row>
    <row r="44" spans="1:2" ht="14.25">
      <c r="A44" t="s">
        <v>20</v>
      </c>
      <c r="B44" s="18">
        <f>+F36</f>
        <v>0.06984490740740741</v>
      </c>
    </row>
    <row r="45" spans="1:2" ht="14.25">
      <c r="A45" t="s">
        <v>29</v>
      </c>
      <c r="B45" s="17">
        <f>+B43/B44</f>
        <v>61644.51662081844</v>
      </c>
    </row>
    <row r="46" spans="1:2" ht="14.25">
      <c r="A46" t="s">
        <v>3</v>
      </c>
      <c r="B46" s="15">
        <f>+B3</f>
        <v>10000000</v>
      </c>
    </row>
    <row r="47" spans="1:2" ht="14.25">
      <c r="A47" t="s">
        <v>30</v>
      </c>
      <c r="B47" s="45">
        <f>+B45/B46</f>
        <v>0.006164451662081844</v>
      </c>
    </row>
    <row r="48" spans="1:2" ht="14.25">
      <c r="A48" t="s">
        <v>32</v>
      </c>
      <c r="B48" s="44">
        <f>+B4+B47</f>
        <v>4.006164451662082</v>
      </c>
    </row>
    <row r="49" ht="14.25">
      <c r="A49" t="s">
        <v>31</v>
      </c>
    </row>
    <row r="51" ht="14.25">
      <c r="A51" t="s">
        <v>41</v>
      </c>
    </row>
    <row r="52" spans="1:2" ht="14.25">
      <c r="A52" t="s">
        <v>34</v>
      </c>
      <c r="B52" s="30">
        <f>+B16</f>
        <v>440000</v>
      </c>
    </row>
    <row r="53" spans="1:2" ht="14.25">
      <c r="A53" t="s">
        <v>37</v>
      </c>
      <c r="B53" s="30">
        <f>+B17</f>
        <v>4000000</v>
      </c>
    </row>
    <row r="54" spans="1:2" ht="14.25">
      <c r="A54" t="s">
        <v>38</v>
      </c>
      <c r="B54" s="23">
        <f>+B52/B53</f>
        <v>0.11</v>
      </c>
    </row>
    <row r="55" spans="1:7" ht="14.25">
      <c r="A55" t="s">
        <v>1</v>
      </c>
      <c r="B55" s="1">
        <f>+B11</f>
        <v>0.3</v>
      </c>
      <c r="G55" t="s">
        <v>92</v>
      </c>
    </row>
    <row r="56" spans="1:7" ht="14.25">
      <c r="A56" t="s">
        <v>39</v>
      </c>
      <c r="B56" s="30">
        <f>+B52*(1-B55)</f>
        <v>308000</v>
      </c>
      <c r="C56" t="s">
        <v>89</v>
      </c>
      <c r="G56" t="s">
        <v>90</v>
      </c>
    </row>
    <row r="57" spans="1:7" ht="14.25">
      <c r="A57" t="s">
        <v>20</v>
      </c>
      <c r="B57" s="18">
        <f>+F36</f>
        <v>0.06984490740740741</v>
      </c>
      <c r="G57" t="s">
        <v>91</v>
      </c>
    </row>
    <row r="58" spans="1:2" ht="14.25">
      <c r="A58" t="s">
        <v>40</v>
      </c>
      <c r="B58" s="30">
        <f>+B56/B57-$B$53</f>
        <v>409770.32446226757</v>
      </c>
    </row>
    <row r="60" spans="1:3" ht="14.25">
      <c r="A60" t="s">
        <v>42</v>
      </c>
      <c r="B60" s="16">
        <f>+B58/B3</f>
        <v>0.04097703244622676</v>
      </c>
      <c r="C60" s="16">
        <f>+B47</f>
        <v>0.006164451662081844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="140" zoomScaleNormal="140" zoomScalePageLayoutView="0" workbookViewId="0" topLeftCell="A1">
      <selection activeCell="D8" sqref="D8"/>
    </sheetView>
  </sheetViews>
  <sheetFormatPr defaultColWidth="9.140625" defaultRowHeight="15"/>
  <cols>
    <col min="1" max="1" width="25.57421875" style="0" customWidth="1"/>
    <col min="2" max="2" width="10.421875" style="0" bestFit="1" customWidth="1"/>
    <col min="3" max="3" width="12.7109375" style="0" customWidth="1"/>
    <col min="4" max="4" width="10.140625" style="0" customWidth="1"/>
    <col min="5" max="5" width="10.140625" style="0" bestFit="1" customWidth="1"/>
    <col min="6" max="6" width="12.00390625" style="0" customWidth="1"/>
  </cols>
  <sheetData>
    <row r="1" ht="14.25">
      <c r="A1" s="6" t="s">
        <v>43</v>
      </c>
    </row>
    <row r="2" spans="1:2" ht="14.25">
      <c r="A2" s="38"/>
      <c r="B2" s="38"/>
    </row>
    <row r="3" spans="1:2" ht="14.25">
      <c r="A3" s="3" t="s">
        <v>6</v>
      </c>
      <c r="B3" s="39">
        <v>985</v>
      </c>
    </row>
    <row r="4" spans="1:2" ht="14.25">
      <c r="A4" s="3" t="s">
        <v>67</v>
      </c>
      <c r="B4" s="22">
        <v>0.04</v>
      </c>
    </row>
    <row r="5" spans="1:2" ht="14.25">
      <c r="A5" s="3" t="s">
        <v>3</v>
      </c>
      <c r="B5" s="3">
        <v>40</v>
      </c>
    </row>
    <row r="6" spans="1:2" ht="14.25">
      <c r="A6" s="3" t="s">
        <v>44</v>
      </c>
      <c r="B6" s="40">
        <v>47.72</v>
      </c>
    </row>
    <row r="7" spans="1:2" ht="14.25">
      <c r="A7" s="3" t="s">
        <v>34</v>
      </c>
      <c r="B7" s="39">
        <v>300.4246942829926</v>
      </c>
    </row>
    <row r="8" spans="1:2" ht="14.25">
      <c r="A8" s="3" t="s">
        <v>1</v>
      </c>
      <c r="B8" s="22">
        <v>0.3656</v>
      </c>
    </row>
    <row r="9" spans="1:2" ht="14.25">
      <c r="A9" s="3" t="s">
        <v>61</v>
      </c>
      <c r="B9" s="22">
        <v>0.25</v>
      </c>
    </row>
    <row r="10" spans="1:2" ht="14.25">
      <c r="A10" s="3" t="s">
        <v>10</v>
      </c>
      <c r="B10" s="22">
        <v>0.03</v>
      </c>
    </row>
    <row r="11" spans="1:2" ht="14.25">
      <c r="A11" s="3" t="s">
        <v>9</v>
      </c>
      <c r="B11" s="14">
        <v>1</v>
      </c>
    </row>
    <row r="12" spans="1:2" ht="14.25">
      <c r="A12" s="3" t="s">
        <v>21</v>
      </c>
      <c r="B12" s="22">
        <v>0.055</v>
      </c>
    </row>
    <row r="14" ht="14.25">
      <c r="B14" s="18"/>
    </row>
    <row r="15" spans="2:4" ht="28.5">
      <c r="B15" s="3" t="s">
        <v>13</v>
      </c>
      <c r="C15" s="41" t="s">
        <v>46</v>
      </c>
      <c r="D15" s="41" t="s">
        <v>45</v>
      </c>
    </row>
    <row r="16" spans="2:4" ht="14.25">
      <c r="B16" s="5">
        <f aca="true" t="shared" si="0" ref="B16:B26">+B53</f>
        <v>0</v>
      </c>
      <c r="C16" s="3" t="s">
        <v>47</v>
      </c>
      <c r="D16" s="22">
        <v>0.003</v>
      </c>
    </row>
    <row r="17" spans="2:4" ht="14.25">
      <c r="B17" s="5">
        <f t="shared" si="0"/>
        <v>0.09523451391291463</v>
      </c>
      <c r="C17" s="3" t="s">
        <v>71</v>
      </c>
      <c r="D17" s="22">
        <v>0.003</v>
      </c>
    </row>
    <row r="18" spans="2:4" ht="14.25">
      <c r="B18" s="5">
        <f t="shared" si="0"/>
        <v>0.18494422116797732</v>
      </c>
      <c r="C18" s="3" t="s">
        <v>72</v>
      </c>
      <c r="D18" s="22">
        <v>0.015</v>
      </c>
    </row>
    <row r="19" spans="2:4" ht="14.25">
      <c r="B19" s="5">
        <f t="shared" si="0"/>
        <v>0.27523839604376515</v>
      </c>
      <c r="C19" s="3" t="s">
        <v>8</v>
      </c>
      <c r="D19" s="22">
        <v>0.12</v>
      </c>
    </row>
    <row r="20" spans="2:4" ht="14.25">
      <c r="B20" s="5">
        <f t="shared" si="0"/>
        <v>0.34038288755269885</v>
      </c>
      <c r="C20" s="3" t="s">
        <v>48</v>
      </c>
      <c r="D20" s="22">
        <f>(D19+D21)/2</f>
        <v>0.185</v>
      </c>
    </row>
    <row r="21" spans="2:4" ht="14.25">
      <c r="B21" s="5">
        <f t="shared" si="0"/>
        <v>0.3665234555928854</v>
      </c>
      <c r="C21" s="3" t="s">
        <v>73</v>
      </c>
      <c r="D21" s="22">
        <v>0.25</v>
      </c>
    </row>
    <row r="22" spans="2:4" ht="14.25">
      <c r="B22" s="5">
        <f t="shared" si="0"/>
        <v>0.4548204393087755</v>
      </c>
      <c r="C22" s="3" t="s">
        <v>49</v>
      </c>
      <c r="D22" s="22">
        <v>0.35</v>
      </c>
    </row>
    <row r="23" spans="2:4" ht="14.25">
      <c r="B23" s="5">
        <f t="shared" si="0"/>
        <v>0.5355651217374496</v>
      </c>
      <c r="C23" s="3" t="s">
        <v>74</v>
      </c>
      <c r="D23" s="22">
        <v>0.4</v>
      </c>
    </row>
    <row r="24" spans="2:4" ht="14.25">
      <c r="B24" s="5">
        <f t="shared" si="0"/>
        <v>0.6412093257489724</v>
      </c>
      <c r="C24" s="3" t="s">
        <v>75</v>
      </c>
      <c r="D24" s="22">
        <v>0.65</v>
      </c>
    </row>
    <row r="25" spans="2:4" ht="14.25">
      <c r="B25" s="5">
        <f t="shared" si="0"/>
        <v>0.7354614913960038</v>
      </c>
      <c r="C25" s="3" t="s">
        <v>76</v>
      </c>
      <c r="D25" s="22">
        <v>0.8</v>
      </c>
    </row>
    <row r="26" spans="2:4" ht="14.25">
      <c r="B26" s="5">
        <f t="shared" si="0"/>
        <v>0.8215208612747461</v>
      </c>
      <c r="C26" s="3" t="s">
        <v>50</v>
      </c>
      <c r="D26" s="22">
        <v>0.9</v>
      </c>
    </row>
    <row r="28" ht="14.25">
      <c r="A28" t="s">
        <v>51</v>
      </c>
    </row>
    <row r="29" ht="14.25">
      <c r="A29" t="s">
        <v>52</v>
      </c>
    </row>
    <row r="31" spans="1:5" ht="28.5">
      <c r="A31" t="s">
        <v>53</v>
      </c>
      <c r="B31" t="s">
        <v>55</v>
      </c>
      <c r="C31" t="s">
        <v>56</v>
      </c>
      <c r="D31" s="27" t="s">
        <v>14</v>
      </c>
      <c r="E31" t="s">
        <v>20</v>
      </c>
    </row>
    <row r="32" spans="1:5" ht="14.25">
      <c r="A32" t="s">
        <v>16</v>
      </c>
      <c r="B32" s="33">
        <f>+B5*B6</f>
        <v>1908.8</v>
      </c>
      <c r="C32" s="32">
        <f>+B32/$B$34</f>
        <v>0.659617112447301</v>
      </c>
      <c r="D32" s="22">
        <f>+B10+B11*B12</f>
        <v>0.08499999999999999</v>
      </c>
      <c r="E32" s="18">
        <f>+C32*D32</f>
        <v>0.056067454558020584</v>
      </c>
    </row>
    <row r="33" spans="1:5" ht="14.25">
      <c r="A33" t="s">
        <v>6</v>
      </c>
      <c r="B33" s="33">
        <f>+B3</f>
        <v>985</v>
      </c>
      <c r="C33" s="32">
        <f>+B33/$B$34</f>
        <v>0.34038288755269885</v>
      </c>
      <c r="D33" s="18">
        <f>+B4</f>
        <v>0.04</v>
      </c>
      <c r="E33" s="18">
        <f>+C33*D33*(1-B8)</f>
        <v>0.008637556154537289</v>
      </c>
    </row>
    <row r="34" spans="1:7" ht="14.25">
      <c r="A34" t="s">
        <v>54</v>
      </c>
      <c r="B34" s="33">
        <f>+B32+B33</f>
        <v>2893.8</v>
      </c>
      <c r="C34" s="32">
        <f>+B34/$B$34</f>
        <v>1</v>
      </c>
      <c r="E34" s="18">
        <f>SUM(E32:E33)</f>
        <v>0.06470501071255787</v>
      </c>
      <c r="G34" s="17"/>
    </row>
    <row r="36" spans="1:8" ht="14.25">
      <c r="A36" t="s">
        <v>57</v>
      </c>
      <c r="B36" s="33">
        <f>+B3*B8</f>
        <v>360.116</v>
      </c>
      <c r="H36" s="17"/>
    </row>
    <row r="37" spans="1:8" ht="14.25">
      <c r="A37" t="s">
        <v>58</v>
      </c>
      <c r="H37" s="17"/>
    </row>
    <row r="38" spans="1:8" ht="14.25">
      <c r="A38" t="s">
        <v>59</v>
      </c>
      <c r="B38" s="18">
        <f>+D20</f>
        <v>0.185</v>
      </c>
      <c r="G38" s="17"/>
      <c r="H38" s="17"/>
    </row>
    <row r="39" spans="1:8" ht="14.25">
      <c r="A39" t="s">
        <v>60</v>
      </c>
      <c r="B39" s="18">
        <f>+B9</f>
        <v>0.25</v>
      </c>
      <c r="H39" s="17"/>
    </row>
    <row r="40" spans="1:9" ht="14.25">
      <c r="A40" t="s">
        <v>62</v>
      </c>
      <c r="B40" s="17">
        <f>+B34</f>
        <v>2893.8</v>
      </c>
      <c r="H40" s="17"/>
      <c r="I40" s="17"/>
    </row>
    <row r="41" spans="1:7" ht="14.25">
      <c r="A41" t="s">
        <v>63</v>
      </c>
      <c r="B41" s="17">
        <f>+B38*B39*B40</f>
        <v>133.83825000000002</v>
      </c>
      <c r="G41" s="17"/>
    </row>
    <row r="43" spans="1:2" ht="14.25">
      <c r="A43" t="s">
        <v>64</v>
      </c>
      <c r="B43" s="17">
        <f>+B34-B36+B41</f>
        <v>2667.52225</v>
      </c>
    </row>
    <row r="45" spans="1:2" ht="14.25">
      <c r="A45" t="s">
        <v>68</v>
      </c>
      <c r="B45" s="28">
        <f>+B11/(1+B33/B32*(1-B8))</f>
        <v>0.7533694020248775</v>
      </c>
    </row>
    <row r="46" spans="1:2" ht="14.25">
      <c r="A46" t="s">
        <v>69</v>
      </c>
      <c r="B46" s="18">
        <f>+B10+B45*B12</f>
        <v>0.07143531711136826</v>
      </c>
    </row>
    <row r="48" spans="1:2" ht="14.25">
      <c r="A48" t="s">
        <v>39</v>
      </c>
      <c r="B48" s="17">
        <f>+B7*(1-B8)</f>
        <v>190.58942605313055</v>
      </c>
    </row>
    <row r="49" spans="1:2" ht="14.25">
      <c r="A49" t="s">
        <v>70</v>
      </c>
      <c r="B49" s="17">
        <f>+B48/B46</f>
        <v>2668.0000000000005</v>
      </c>
    </row>
    <row r="51" spans="2:3" ht="14.25">
      <c r="B51" s="35"/>
      <c r="C51" s="16"/>
    </row>
    <row r="52" spans="2:7" ht="43.5">
      <c r="B52" s="42" t="s">
        <v>13</v>
      </c>
      <c r="C52" t="s">
        <v>6</v>
      </c>
      <c r="D52" s="27" t="s">
        <v>65</v>
      </c>
      <c r="E52" s="34" t="s">
        <v>57</v>
      </c>
      <c r="F52" s="26" t="s">
        <v>66</v>
      </c>
      <c r="G52" s="26" t="s">
        <v>77</v>
      </c>
    </row>
    <row r="53" spans="2:7" ht="14.25">
      <c r="B53" s="1">
        <f aca="true" t="shared" si="1" ref="B53:B63">+C53/G53</f>
        <v>0</v>
      </c>
      <c r="C53" s="17">
        <v>0</v>
      </c>
      <c r="D53" s="17">
        <f>+$B$43</f>
        <v>2667.52225</v>
      </c>
      <c r="E53" s="17">
        <f>+C53*$B$8</f>
        <v>0</v>
      </c>
      <c r="F53" s="17">
        <f aca="true" t="shared" si="2" ref="F53:F63">+$B$9*G53*D16</f>
        <v>2.071202885335998</v>
      </c>
      <c r="G53" s="17">
        <f>+D53+E53-F53</f>
        <v>2667.52225</v>
      </c>
    </row>
    <row r="54" spans="2:7" ht="14.25">
      <c r="B54" s="1">
        <f t="shared" si="1"/>
        <v>0.09523451391291463</v>
      </c>
      <c r="C54" s="17">
        <v>263</v>
      </c>
      <c r="D54" s="17">
        <f aca="true" t="shared" si="3" ref="D54:D63">+$B$43</f>
        <v>2667.52225</v>
      </c>
      <c r="E54" s="17">
        <f aca="true" t="shared" si="4" ref="E54:E63">+C54*$B$8</f>
        <v>96.1528</v>
      </c>
      <c r="F54" s="17">
        <f t="shared" si="2"/>
        <v>2.071202885335998</v>
      </c>
      <c r="G54" s="17">
        <f aca="true" t="shared" si="5" ref="G54:G63">+D54+E54-F54</f>
        <v>2761.603847114664</v>
      </c>
    </row>
    <row r="55" spans="2:7" ht="14.25">
      <c r="B55" s="1">
        <f t="shared" si="1"/>
        <v>0.18494422116797732</v>
      </c>
      <c r="C55" s="17">
        <v>527</v>
      </c>
      <c r="D55" s="17">
        <f t="shared" si="3"/>
        <v>2667.52225</v>
      </c>
      <c r="E55" s="17">
        <f t="shared" si="4"/>
        <v>192.6712</v>
      </c>
      <c r="F55" s="17">
        <f t="shared" si="2"/>
        <v>10.68565423412204</v>
      </c>
      <c r="G55" s="17">
        <f t="shared" si="5"/>
        <v>2849.5077957658777</v>
      </c>
    </row>
    <row r="56" spans="2:7" ht="14.25">
      <c r="B56" s="1">
        <f t="shared" si="1"/>
        <v>0.27523839604376515</v>
      </c>
      <c r="C56" s="17">
        <v>790</v>
      </c>
      <c r="D56" s="17">
        <f t="shared" si="3"/>
        <v>2667.52225</v>
      </c>
      <c r="E56" s="17">
        <f t="shared" si="4"/>
        <v>288.824</v>
      </c>
      <c r="F56" s="17">
        <f t="shared" si="2"/>
        <v>86.10717233009709</v>
      </c>
      <c r="G56" s="17">
        <f t="shared" si="5"/>
        <v>2870.239077669903</v>
      </c>
    </row>
    <row r="57" spans="2:7" ht="14.25">
      <c r="B57" s="36">
        <f t="shared" si="1"/>
        <v>0.34038288755269885</v>
      </c>
      <c r="C57" s="37">
        <v>985</v>
      </c>
      <c r="D57" s="37">
        <f t="shared" si="3"/>
        <v>2667.52225</v>
      </c>
      <c r="E57" s="37">
        <f t="shared" si="4"/>
        <v>360.116</v>
      </c>
      <c r="F57" s="37">
        <f t="shared" si="2"/>
        <v>133.83825000000002</v>
      </c>
      <c r="G57" s="37">
        <f t="shared" si="5"/>
        <v>2893.8</v>
      </c>
    </row>
    <row r="58" spans="2:7" ht="14.25">
      <c r="B58" s="1">
        <f t="shared" si="1"/>
        <v>0.3665234555928854</v>
      </c>
      <c r="C58" s="17">
        <v>1053</v>
      </c>
      <c r="D58" s="17">
        <f t="shared" si="3"/>
        <v>2667.52225</v>
      </c>
      <c r="E58" s="17">
        <f t="shared" si="4"/>
        <v>384.97679999999997</v>
      </c>
      <c r="F58" s="17">
        <f t="shared" si="2"/>
        <v>179.55876764705883</v>
      </c>
      <c r="G58" s="17">
        <f t="shared" si="5"/>
        <v>2872.9402823529413</v>
      </c>
    </row>
    <row r="59" spans="2:7" ht="14.25">
      <c r="B59" s="1">
        <f t="shared" si="1"/>
        <v>0.4548204393087755</v>
      </c>
      <c r="C59" s="17">
        <v>1317</v>
      </c>
      <c r="D59" s="17">
        <f t="shared" si="3"/>
        <v>2667.52225</v>
      </c>
      <c r="E59" s="17">
        <f t="shared" si="4"/>
        <v>481.49519999999995</v>
      </c>
      <c r="F59" s="17">
        <f t="shared" si="2"/>
        <v>253.3692201149425</v>
      </c>
      <c r="G59" s="17">
        <f t="shared" si="5"/>
        <v>2895.6482298850574</v>
      </c>
    </row>
    <row r="60" spans="2:7" ht="14.25">
      <c r="B60" s="36">
        <f t="shared" si="1"/>
        <v>0.5355651217374496</v>
      </c>
      <c r="C60" s="17">
        <v>1580</v>
      </c>
      <c r="D60" s="17">
        <f t="shared" si="3"/>
        <v>2667.52225</v>
      </c>
      <c r="E60" s="17">
        <f t="shared" si="4"/>
        <v>577.648</v>
      </c>
      <c r="F60" s="17">
        <f t="shared" si="2"/>
        <v>295.0154772727273</v>
      </c>
      <c r="G60" s="37">
        <f t="shared" si="5"/>
        <v>2950.1547727272728</v>
      </c>
    </row>
    <row r="61" spans="2:7" ht="14.25">
      <c r="B61" s="1">
        <f t="shared" si="1"/>
        <v>0.6412093257489724</v>
      </c>
      <c r="C61" s="17">
        <v>1843</v>
      </c>
      <c r="D61" s="17">
        <f t="shared" si="3"/>
        <v>2667.52225</v>
      </c>
      <c r="E61" s="17">
        <f t="shared" si="4"/>
        <v>673.8008</v>
      </c>
      <c r="F61" s="17">
        <f t="shared" si="2"/>
        <v>467.06666290322585</v>
      </c>
      <c r="G61" s="17">
        <f t="shared" si="5"/>
        <v>2874.2563870967742</v>
      </c>
    </row>
    <row r="62" spans="2:7" ht="14.25">
      <c r="B62" s="1">
        <f t="shared" si="1"/>
        <v>0.7354614913960038</v>
      </c>
      <c r="C62" s="17">
        <v>2107</v>
      </c>
      <c r="D62" s="17">
        <f t="shared" si="3"/>
        <v>2667.52225</v>
      </c>
      <c r="E62" s="17">
        <f t="shared" si="4"/>
        <v>770.3191999999999</v>
      </c>
      <c r="F62" s="17">
        <f t="shared" si="2"/>
        <v>572.973575</v>
      </c>
      <c r="G62" s="17">
        <f t="shared" si="5"/>
        <v>2864.867875</v>
      </c>
    </row>
    <row r="63" spans="2:7" ht="14.25">
      <c r="B63" s="1">
        <f t="shared" si="1"/>
        <v>0.821520861274746</v>
      </c>
      <c r="C63" s="17">
        <v>2370</v>
      </c>
      <c r="D63" s="17">
        <f t="shared" si="3"/>
        <v>2667.52225</v>
      </c>
      <c r="E63" s="17">
        <f t="shared" si="4"/>
        <v>866.472</v>
      </c>
      <c r="F63" s="17">
        <f t="shared" si="2"/>
        <v>649.1009846938775</v>
      </c>
      <c r="G63" s="17">
        <f t="shared" si="5"/>
        <v>2884.893265306122</v>
      </c>
    </row>
  </sheetData>
  <sheetProtection/>
  <printOptions/>
  <pageMargins left="0.7" right="0.7" top="0.75" bottom="0.75" header="0.3" footer="0.3"/>
  <pageSetup horizontalDpi="600" verticalDpi="600" orientation="landscape" paperSize="9" r:id="rId2"/>
  <rowBreaks count="2" manualBreakCount="2">
    <brk id="27" max="255" man="1"/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Carvalho das Neves</dc:creator>
  <cp:keywords/>
  <dc:description/>
  <cp:lastModifiedBy>Administrator</cp:lastModifiedBy>
  <cp:lastPrinted>2019-12-08T22:25:00Z</cp:lastPrinted>
  <dcterms:created xsi:type="dcterms:W3CDTF">2019-12-08T14:05:39Z</dcterms:created>
  <dcterms:modified xsi:type="dcterms:W3CDTF">2020-12-03T19:05:08Z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0x0101006DBCEE50967BDA45BD9115280A2AEE39</vt:lpwstr>
  </property>
</Properties>
</file>